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40" activeTab="0"/>
  </bookViews>
  <sheets>
    <sheet name="Plo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<sst xmlns="http://schemas.openxmlformats.org/spreadsheetml/2006/main" count="51" uniqueCount="46">
  <si>
    <t>Input Data:</t>
  </si>
  <si>
    <t xml:space="preserve"> in</t>
  </si>
  <si>
    <t xml:space="preserve"> ft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</si>
  <si>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</si>
  <si>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</si>
  <si>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 xml:space="preserve"> Mscf/d</t>
  </si>
  <si>
    <t>Solution: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</si>
  <si>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</si>
  <si>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t xml:space="preserve"> Deg</t>
  </si>
  <si>
    <t>AOF =</t>
  </si>
  <si>
    <r>
      <t xml:space="preserve"> Mscf/d-psi</t>
    </r>
    <r>
      <rPr>
        <vertAlign val="superscript"/>
        <sz val="10"/>
        <rFont val="Arial"/>
        <family val="2"/>
      </rPr>
      <t>2n</t>
    </r>
  </si>
  <si>
    <r>
      <t>q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0"/>
      </rPr>
      <t xml:space="preserve"> (Mscf/d)</t>
    </r>
  </si>
  <si>
    <r>
      <t>Z</t>
    </r>
    <r>
      <rPr>
        <vertAlign val="subscript"/>
        <sz val="10"/>
        <rFont val="Arial"/>
        <family val="2"/>
      </rPr>
      <t>av =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</si>
  <si>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=</t>
    </r>
  </si>
  <si>
    <t>s =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</si>
  <si>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</t>
    </r>
  </si>
  <si>
    <r>
      <t>e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</si>
  <si>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IPR</t>
  </si>
  <si>
    <t>TPR</t>
  </si>
  <si>
    <r>
      <t>p</t>
    </r>
    <r>
      <rPr>
        <vertAlign val="subscript"/>
        <sz val="10"/>
        <rFont val="Arial"/>
        <family val="2"/>
      </rPr>
      <t>pc</t>
    </r>
  </si>
  <si>
    <t>psia</t>
  </si>
  <si>
    <r>
      <t>T</t>
    </r>
    <r>
      <rPr>
        <vertAlign val="subscript"/>
        <sz val="10"/>
        <rFont val="Arial"/>
        <family val="2"/>
      </rPr>
      <t>pc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</si>
  <si>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</si>
  <si>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p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(psia)</t>
    </r>
  </si>
  <si>
    <r>
      <t>p</t>
    </r>
    <r>
      <rPr>
        <vertAlign val="subscript"/>
        <sz val="10"/>
        <rFont val="Arial"/>
        <family val="2"/>
      </rPr>
      <t xml:space="preserve">pr </t>
    </r>
  </si>
  <si>
    <r>
      <t>T</t>
    </r>
    <r>
      <rPr>
        <vertAlign val="subscript"/>
        <sz val="10"/>
        <rFont val="Arial"/>
        <family val="2"/>
      </rPr>
      <t>pr</t>
    </r>
  </si>
  <si>
    <t>A</t>
  </si>
  <si>
    <t>B</t>
  </si>
  <si>
    <t>C</t>
  </si>
  <si>
    <t>D</t>
  </si>
  <si>
    <t>BottomHoleNodal.xls</t>
  </si>
  <si>
    <t>This spreadsheet calculates well deliverability with bottom hole node.</t>
  </si>
  <si>
    <r>
      <t>Gas specific gravity</t>
    </r>
    <r>
      <rPr>
        <sz val="10"/>
        <rFont val="Symbol"/>
        <family val="1"/>
      </rPr>
      <t xml:space="preserve"> (g</t>
    </r>
    <r>
      <rPr>
        <vertAlign val="subscript"/>
        <sz val="10"/>
        <rFont val="Arial"/>
        <family val="2"/>
      </rPr>
      <t>g):</t>
    </r>
    <r>
      <rPr>
        <sz val="10"/>
        <rFont val="Arial"/>
        <family val="0"/>
      </rPr>
      <t xml:space="preserve"> </t>
    </r>
  </si>
  <si>
    <t>Tubing inside diameter (D):</t>
  </si>
  <si>
    <r>
      <t>Tubing relative roughness</t>
    </r>
    <r>
      <rPr>
        <sz val="10"/>
        <rFont val="Symbol"/>
        <family val="1"/>
      </rPr>
      <t xml:space="preserve"> (e/</t>
    </r>
    <r>
      <rPr>
        <sz val="10"/>
        <rFont val="Arial"/>
        <family val="2"/>
      </rPr>
      <t>D):</t>
    </r>
  </si>
  <si>
    <t>Measured depth at tubing shoe (L):</t>
  </si>
  <si>
    <r>
      <t>Inclination angle</t>
    </r>
    <r>
      <rPr>
        <sz val="10"/>
        <rFont val="Symbol"/>
        <family val="1"/>
      </rPr>
      <t xml:space="preserve"> (q):</t>
    </r>
  </si>
  <si>
    <r>
      <t>Wellhead pressure (p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>):</t>
    </r>
  </si>
  <si>
    <r>
      <t>Wellhead temperature (T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):</t>
    </r>
  </si>
  <si>
    <r>
      <t>Bottom hole temperature (T</t>
    </r>
    <r>
      <rPr>
        <vertAlign val="subscript"/>
        <sz val="10"/>
        <rFont val="Arial"/>
        <family val="2"/>
      </rPr>
      <t>wf):</t>
    </r>
  </si>
  <si>
    <t>Reservoir pressure (p~):</t>
  </si>
  <si>
    <t>C-constant in backpressure IPR model:</t>
  </si>
  <si>
    <t>n-exponent in backpressure IPR model:</t>
  </si>
  <si>
    <t>Operating flowrate =</t>
  </si>
  <si>
    <t>Operating pressure =</t>
  </si>
  <si>
    <t>Residual of objective function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</si>
</sst>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.5"/>
      <name val="Arial"/>
      <family val="2"/>
    </font>
    <font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.75"/>
      <name val="Arial"/>
      <family val="0"/>
    </font>
    <font>
      <sz val="10"/>
      <name val="@Arial Unicode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0" fontId="0" fillId="0" borderId="4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/>
    </xf>
    <xf numFmtId="1" fontId="1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825"/>
          <c:w val="0.9525"/>
          <c:h val="0.893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IPR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Sheet1!$A$29:$A$42</c:f>
              <c:numCache>
                <c:ptCount val="14"/>
                <c:pt idx="0">
                  <c:v>0</c:v>
                </c:pt>
                <c:pt idx="1">
                  <c:v>191.2704999580075</c:v>
                </c:pt>
                <c:pt idx="2">
                  <c:v>382.540999916015</c:v>
                </c:pt>
                <c:pt idx="3">
                  <c:v>573.8114998740225</c:v>
                </c:pt>
                <c:pt idx="4">
                  <c:v>765.08199983203</c:v>
                </c:pt>
                <c:pt idx="5">
                  <c:v>956.3524997900374</c:v>
                </c:pt>
                <c:pt idx="6">
                  <c:v>1147.622999748045</c:v>
                </c:pt>
                <c:pt idx="7">
                  <c:v>1338.8934997060526</c:v>
                </c:pt>
                <c:pt idx="8">
                  <c:v>1530.1639996640602</c:v>
                </c:pt>
                <c:pt idx="9">
                  <c:v>1721.4344996220677</c:v>
                </c:pt>
                <c:pt idx="10">
                  <c:v>1817.0697496010714</c:v>
                </c:pt>
                <c:pt idx="11">
                  <c:v>1864.8873745905732</c:v>
                </c:pt>
                <c:pt idx="12">
                  <c:v>1888.7961870853242</c:v>
                </c:pt>
                <c:pt idx="13">
                  <c:v>1912.7049995800749</c:v>
                </c:pt>
              </c:numCache>
            </c:numRef>
          </c:xVal>
          <c:yVal>
            <c:numRef>
              <c:f>Sheet1!$B$29:$B$42</c:f>
              <c:numCache>
                <c:ptCount val="14"/>
                <c:pt idx="0">
                  <c:v>2000</c:v>
                </c:pt>
                <c:pt idx="1">
                  <c:v>1942.9522562131733</c:v>
                </c:pt>
                <c:pt idx="2">
                  <c:v>1861.4531302234986</c:v>
                </c:pt>
                <c:pt idx="3">
                  <c:v>1764.0580020535765</c:v>
                </c:pt>
                <c:pt idx="4">
                  <c:v>1651.534690514467</c:v>
                </c:pt>
                <c:pt idx="5">
                  <c:v>1522.565981983234</c:v>
                </c:pt>
                <c:pt idx="6">
                  <c:v>1373.9475360055983</c:v>
                </c:pt>
                <c:pt idx="7">
                  <c:v>1199.5268176075313</c:v>
                </c:pt>
                <c:pt idx="8">
                  <c:v>986.7253169904147</c:v>
                </c:pt>
                <c:pt idx="9">
                  <c:v>702.5571242745533</c:v>
                </c:pt>
                <c:pt idx="10">
                  <c:v>498.4150172040858</c:v>
                </c:pt>
                <c:pt idx="11">
                  <c:v>352.99703471540505</c:v>
                </c:pt>
                <c:pt idx="12">
                  <c:v>249.80399695306383</c:v>
                </c:pt>
                <c:pt idx="13">
                  <c:v>3.737624729588589E-05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TPR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Sheet1!$A$29:$A$42</c:f>
              <c:numCache>
                <c:ptCount val="14"/>
                <c:pt idx="0">
                  <c:v>0</c:v>
                </c:pt>
                <c:pt idx="1">
                  <c:v>191.2704999580075</c:v>
                </c:pt>
                <c:pt idx="2">
                  <c:v>382.540999916015</c:v>
                </c:pt>
                <c:pt idx="3">
                  <c:v>573.8114998740225</c:v>
                </c:pt>
                <c:pt idx="4">
                  <c:v>765.08199983203</c:v>
                </c:pt>
                <c:pt idx="5">
                  <c:v>956.3524997900374</c:v>
                </c:pt>
                <c:pt idx="6">
                  <c:v>1147.622999748045</c:v>
                </c:pt>
                <c:pt idx="7">
                  <c:v>1338.8934997060526</c:v>
                </c:pt>
                <c:pt idx="8">
                  <c:v>1530.1639996640602</c:v>
                </c:pt>
                <c:pt idx="9">
                  <c:v>1721.4344996220677</c:v>
                </c:pt>
                <c:pt idx="10">
                  <c:v>1817.0697496010714</c:v>
                </c:pt>
                <c:pt idx="11">
                  <c:v>1864.8873745905732</c:v>
                </c:pt>
                <c:pt idx="12">
                  <c:v>1888.7961870853242</c:v>
                </c:pt>
                <c:pt idx="13">
                  <c:v>1912.7049995800749</c:v>
                </c:pt>
              </c:numCache>
            </c:numRef>
          </c:xVal>
          <c:yVal>
            <c:numRef>
              <c:f>Sheet1!$C$29:$C$42</c:f>
              <c:numCache>
                <c:ptCount val="14"/>
                <c:pt idx="0">
                  <c:v>1020.086703883898</c:v>
                </c:pt>
                <c:pt idx="1">
                  <c:v>1020.7507639713953</c:v>
                </c:pt>
                <c:pt idx="2">
                  <c:v>1022.7403572122311</c:v>
                </c:pt>
                <c:pt idx="3">
                  <c:v>1026.0477726733586</c:v>
                </c:pt>
                <c:pt idx="4">
                  <c:v>1030.660323656762</c:v>
                </c:pt>
                <c:pt idx="5">
                  <c:v>1036.5605872921788</c:v>
                </c:pt>
                <c:pt idx="6">
                  <c:v>1043.7267252062172</c:v>
                </c:pt>
                <c:pt idx="7">
                  <c:v>1052.1328718877792</c:v>
                </c:pt>
                <c:pt idx="8">
                  <c:v>1061.7495753325736</c:v>
                </c:pt>
                <c:pt idx="9">
                  <c:v>1072.5442735597994</c:v>
                </c:pt>
                <c:pt idx="10">
                  <c:v>1078.3724666320218</c:v>
                </c:pt>
                <c:pt idx="11">
                  <c:v>1081.3922799196127</c:v>
                </c:pt>
                <c:pt idx="12">
                  <c:v>1082.9283600608142</c:v>
                </c:pt>
                <c:pt idx="13">
                  <c:v>1084.4817906206997</c:v>
                </c:pt>
              </c:numCache>
            </c:numRef>
          </c:yVal>
          <c:smooth val="1"/>
        </c:ser>
        <c:axId val="2182150"/>
        <c:axId val="57273687"/>
      </c:scatterChart>
      <c:valAx>
        <c:axId val="2182150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Gas Production Rate (Mscf/d)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7273687"/>
        <c:crosses val="autoZero"/>
        <c:crossBetween val="midCat"/>
        <c:dispUnits/>
      </c:valAx>
      <c:valAx>
        <c:axId val="5727368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Bottom Hole 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182150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81375"/>
          <c:y val="0.13775"/>
          <c:w val="0.1"/>
          <c:h val="0.130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76850"/>
    <xdr:graphicFrame>
      <xdr:nvGraphicFramePr>
        <xdr:cNvPr id="1" name="Shape 1025"/>
        <xdr:cNvGraphicFramePr/>
      </xdr:nvGraphicFramePr>
      <xdr:xfrm>
        <a:off x="0" y="0"/>
        <a:ext cx="9715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104775</xdr:rowOff>
    </xdr:from>
    <xdr:to>
      <xdr:col>1</xdr:col>
      <xdr:colOff>952500</xdr:colOff>
      <xdr:row>2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428625"/>
          <a:ext cx="31432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your data in the "Input Data" section;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Run Macro "Solution" to get results;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3: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View results in table and in graph sheet "Plot".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workbookViewId="0" topLeftCell="A7">
      <selection activeCell="B21" sqref="B21"/>
    </sheetView>
  </sheetViews>
  <sheetFormatPr defaultColWidth="9.140625" defaultRowHeight="12.75"/>
  <cols>
    <col min="1" max="1" width="34.28125" style="0" customWidth="1"/>
    <col min="2" max="2" width="24.28125" style="0" customWidth="1"/>
    <col min="3" max="3" width="11.8515625" style="0" customWidth="1"/>
    <col min="4" max="4" width="31.140625" style="0" customWidth="1"/>
    <col min="5" max="5" width="20.00390625" style="0" customWidth="1"/>
    <col min="7" max="7" width="20.140625" style="0" customWidth="1"/>
    <col min="9" max="11" width="9.140625" style="1" customWidth="1"/>
  </cols>
  <sheetData>
    <row r="1" spans="1:4" ht="12.75">
      <c r="A1" s="8" t="s">
        <v>30</v>
      </c>
      <c r="B1" s="9"/>
      <c r="C1" s="10"/>
      <c r="D1" s="2"/>
    </row>
    <row r="2" spans="1:4" ht="12.75">
      <c r="A2" s="11" t="s">
        <v>31</v>
      </c>
      <c r="B2" s="2"/>
      <c r="C2" s="12"/>
      <c r="D2" s="2"/>
    </row>
    <row r="3" spans="1:4" ht="75" customHeight="1">
      <c r="A3" s="13"/>
      <c r="B3" s="2"/>
      <c r="C3" s="12"/>
      <c r="D3" s="2"/>
    </row>
    <row r="4" spans="1:4" ht="12.75">
      <c r="A4" s="11" t="s">
        <v>0</v>
      </c>
      <c r="B4" s="2"/>
      <c r="C4" s="12"/>
      <c r="D4" s="2"/>
    </row>
    <row r="5" spans="1:10" ht="15.75">
      <c r="A5" s="13"/>
      <c r="B5" s="2"/>
      <c r="C5" s="12"/>
      <c r="D5" s="2"/>
      <c r="H5" t="s">
        <v>19</v>
      </c>
      <c r="I5" s="1">
        <f>677+15*B6-37.5*B6^2</f>
        <v>668.74625</v>
      </c>
      <c r="J5" s="1" t="s">
        <v>20</v>
      </c>
    </row>
    <row r="6" spans="1:10" ht="15.75">
      <c r="A6" s="14" t="s">
        <v>32</v>
      </c>
      <c r="B6" s="2">
        <v>0.71</v>
      </c>
      <c r="C6" s="12"/>
      <c r="D6" s="2"/>
      <c r="H6" t="s">
        <v>21</v>
      </c>
      <c r="I6" s="1">
        <f>168+325*B6-12.5*B6^2</f>
        <v>392.44875</v>
      </c>
      <c r="J6" s="1" t="s">
        <v>7</v>
      </c>
    </row>
    <row r="7" spans="1:4" ht="12.75">
      <c r="A7" s="15" t="s">
        <v>33</v>
      </c>
      <c r="B7" s="2">
        <v>2.259</v>
      </c>
      <c r="C7" s="12" t="s">
        <v>1</v>
      </c>
      <c r="D7" s="2"/>
    </row>
    <row r="8" spans="1:4" ht="15">
      <c r="A8" s="14" t="s">
        <v>34</v>
      </c>
      <c r="B8" s="2">
        <v>0.0006</v>
      </c>
      <c r="C8" s="12"/>
      <c r="D8" s="2"/>
    </row>
    <row r="9" spans="1:4" ht="12.75">
      <c r="A9" s="15" t="s">
        <v>35</v>
      </c>
      <c r="B9" s="2">
        <v>10000</v>
      </c>
      <c r="C9" s="12" t="s">
        <v>2</v>
      </c>
      <c r="D9" s="2"/>
    </row>
    <row r="10" spans="1:4" ht="15">
      <c r="A10" s="14" t="s">
        <v>36</v>
      </c>
      <c r="B10" s="2">
        <v>0</v>
      </c>
      <c r="C10" s="12" t="s">
        <v>8</v>
      </c>
      <c r="D10" s="2"/>
    </row>
    <row r="11" spans="1:4" ht="15.75">
      <c r="A11" s="15" t="s">
        <v>37</v>
      </c>
      <c r="B11" s="2">
        <v>800</v>
      </c>
      <c r="C11" s="12" t="s">
        <v>3</v>
      </c>
      <c r="D11" s="2"/>
    </row>
    <row r="12" spans="1:4" ht="15.75">
      <c r="A12" s="15" t="s">
        <v>38</v>
      </c>
      <c r="B12" s="2">
        <v>150</v>
      </c>
      <c r="C12" s="12" t="s">
        <v>4</v>
      </c>
      <c r="D12" s="2"/>
    </row>
    <row r="13" spans="1:4" ht="15.75">
      <c r="A13" s="15" t="s">
        <v>39</v>
      </c>
      <c r="B13" s="2">
        <v>200</v>
      </c>
      <c r="C13" s="12" t="s">
        <v>4</v>
      </c>
      <c r="D13" s="2"/>
    </row>
    <row r="14" spans="1:4" ht="12.75">
      <c r="A14" s="15" t="s">
        <v>40</v>
      </c>
      <c r="B14" s="2">
        <v>2000</v>
      </c>
      <c r="C14" s="12" t="s">
        <v>3</v>
      </c>
      <c r="D14" s="2"/>
    </row>
    <row r="15" spans="1:4" ht="14.25">
      <c r="A15" s="15" t="s">
        <v>41</v>
      </c>
      <c r="B15" s="2">
        <v>0.01</v>
      </c>
      <c r="C15" s="16" t="s">
        <v>10</v>
      </c>
      <c r="D15" s="2"/>
    </row>
    <row r="16" spans="1:4" ht="12.75">
      <c r="A16" s="15" t="s">
        <v>42</v>
      </c>
      <c r="B16" s="2">
        <v>0.8</v>
      </c>
      <c r="C16" s="12"/>
      <c r="D16" s="2"/>
    </row>
    <row r="17" spans="1:4" ht="12.75">
      <c r="A17" s="17"/>
      <c r="B17" s="2"/>
      <c r="C17" s="12"/>
      <c r="D17" s="2"/>
    </row>
    <row r="18" spans="1:4" ht="12.75">
      <c r="A18" s="18" t="s">
        <v>6</v>
      </c>
      <c r="B18" s="2"/>
      <c r="C18" s="12"/>
      <c r="D18" s="2"/>
    </row>
    <row r="19" spans="1:15" ht="15.75">
      <c r="A19" s="18"/>
      <c r="B19" s="2"/>
      <c r="C19" s="12"/>
      <c r="D19" s="2"/>
      <c r="H19" s="1" t="s">
        <v>22</v>
      </c>
      <c r="I19" s="1" t="s">
        <v>23</v>
      </c>
      <c r="J19" s="1" t="s">
        <v>24</v>
      </c>
      <c r="K19" s="1" t="s">
        <v>25</v>
      </c>
      <c r="L19" s="1" t="s">
        <v>26</v>
      </c>
      <c r="M19" s="1" t="s">
        <v>27</v>
      </c>
      <c r="N19" s="1" t="s">
        <v>28</v>
      </c>
      <c r="O19" s="1" t="s">
        <v>29</v>
      </c>
    </row>
    <row r="20" spans="1:4" ht="15.75">
      <c r="A20" s="17" t="s">
        <v>13</v>
      </c>
      <c r="B20" s="2">
        <f>(B12+B13)/2+460</f>
        <v>635</v>
      </c>
      <c r="C20" s="12" t="s">
        <v>7</v>
      </c>
      <c r="D20" s="2"/>
    </row>
    <row r="21" spans="1:15" ht="13.5" customHeight="1">
      <c r="A21" s="17" t="s">
        <v>12</v>
      </c>
      <c r="B21" s="3">
        <f>L21+(1-L21)/EXP(M21)+N21*J21^O21</f>
        <v>0.8626286977734163</v>
      </c>
      <c r="C21" s="12"/>
      <c r="D21" s="2"/>
      <c r="H21" s="1">
        <f>B20</f>
        <v>635</v>
      </c>
      <c r="I21" s="1">
        <f>(B14+B11)/2</f>
        <v>1400</v>
      </c>
      <c r="J21" s="1">
        <f>I21/I$5</f>
        <v>2.093469683007568</v>
      </c>
      <c r="K21" s="1">
        <f>H21/I$6</f>
        <v>1.6180456683834512</v>
      </c>
      <c r="L21">
        <f>1.39*(K21-0.92)^0.5-0.36*K21-0.101</f>
        <v>0.477836429787194</v>
      </c>
      <c r="M21">
        <f>(0.62-0.23*K21)*J21+(0.066/(K21-0.86)-0.037)*J21^2+0.32/10^(9*(K21-1))*J21^6</f>
        <v>0.7383591806795001</v>
      </c>
      <c r="N21">
        <f>0.132-0.32*LOG(K21)</f>
        <v>0.06512295195055406</v>
      </c>
      <c r="O21">
        <f>10^(0.3106-0.49*K21+0.1824*K21^2)</f>
        <v>0.9892223409728409</v>
      </c>
    </row>
    <row r="22" spans="1:4" ht="13.5" customHeight="1">
      <c r="A22" s="17" t="s">
        <v>14</v>
      </c>
      <c r="B22" s="4">
        <f>0.0375*B6*B9*COS(B10/57.3)/B21/B20</f>
        <v>0.4860623576110274</v>
      </c>
      <c r="C22" s="12"/>
      <c r="D22" s="2"/>
    </row>
    <row r="23" spans="1:11" ht="13.5" customHeight="1">
      <c r="A23" s="17" t="s">
        <v>16</v>
      </c>
      <c r="B23" s="4">
        <f>EXP(B22)</f>
        <v>1.625901380376118</v>
      </c>
      <c r="C23" s="12"/>
      <c r="D23" s="2"/>
      <c r="E23" s="1"/>
      <c r="F23" s="1"/>
      <c r="G23" s="1"/>
      <c r="H23" s="1"/>
      <c r="I23"/>
      <c r="J23"/>
      <c r="K23"/>
    </row>
    <row r="24" spans="1:11" ht="18" customHeight="1">
      <c r="A24" s="19" t="s">
        <v>15</v>
      </c>
      <c r="B24" s="2">
        <f>(1/(1.74-2*LOG(2*B8)))^2</f>
        <v>0.017396984145081704</v>
      </c>
      <c r="C24" s="12"/>
      <c r="D24" s="2"/>
      <c r="E24" s="1"/>
      <c r="F24" s="1"/>
      <c r="G24" s="1"/>
      <c r="H24" s="1"/>
      <c r="I24"/>
      <c r="J24"/>
      <c r="K24"/>
    </row>
    <row r="25" spans="1:11" ht="18" customHeight="1">
      <c r="A25" s="19" t="s">
        <v>9</v>
      </c>
      <c r="B25" s="2">
        <f>B15*(B14^2)^B16</f>
        <v>1912.7049995800749</v>
      </c>
      <c r="C25" s="12" t="s">
        <v>5</v>
      </c>
      <c r="D25" s="2"/>
      <c r="E25" s="1"/>
      <c r="F25" s="1"/>
      <c r="G25" s="1"/>
      <c r="H25" s="1"/>
      <c r="I25"/>
      <c r="J25"/>
      <c r="K25"/>
    </row>
    <row r="26" spans="1:11" ht="12.75">
      <c r="A26" s="13"/>
      <c r="B26" s="2"/>
      <c r="C26" s="12"/>
      <c r="D26" s="2"/>
      <c r="E26" s="1"/>
      <c r="F26" s="1"/>
      <c r="G26" s="1"/>
      <c r="H26" s="1"/>
      <c r="I26"/>
      <c r="J26"/>
      <c r="K26"/>
    </row>
    <row r="27" spans="1:15" ht="15.75">
      <c r="A27" s="17" t="s">
        <v>11</v>
      </c>
      <c r="B27" s="4" t="s">
        <v>17</v>
      </c>
      <c r="C27" s="20" t="s">
        <v>18</v>
      </c>
      <c r="D27" s="2"/>
      <c r="E27" s="1"/>
      <c r="F27" s="1"/>
      <c r="G27" s="1"/>
      <c r="H27" s="1"/>
      <c r="I27"/>
      <c r="J27"/>
      <c r="K27"/>
      <c r="M27" s="1"/>
      <c r="N27" s="1"/>
      <c r="O27" s="1"/>
    </row>
    <row r="28" spans="1:11" ht="3" customHeight="1">
      <c r="A28" s="13"/>
      <c r="B28" s="2"/>
      <c r="C28" s="12"/>
      <c r="D28" s="2"/>
      <c r="E28" s="1"/>
      <c r="F28" s="1"/>
      <c r="G28" s="1"/>
      <c r="H28" s="1"/>
      <c r="I28"/>
      <c r="J28"/>
      <c r="K28"/>
    </row>
    <row r="29" spans="1:11" ht="12.75">
      <c r="A29" s="13">
        <v>0</v>
      </c>
      <c r="B29" s="6">
        <f>SQRT(B$14^2-(A29/B$15)^(1/B$16))</f>
        <v>2000</v>
      </c>
      <c r="C29" s="21">
        <f>SQRT(B$23*B$11^2+0.000667*(B$23-1)*B$24*(A29*B$21*B$20)^2/B$7^5/COS(B$10/57.3))</f>
        <v>1020.086703883898</v>
      </c>
      <c r="D29" s="3"/>
      <c r="E29" s="1"/>
      <c r="F29" s="1"/>
      <c r="G29" s="1"/>
      <c r="H29" s="1"/>
      <c r="I29"/>
      <c r="J29"/>
      <c r="K29"/>
    </row>
    <row r="30" spans="1:11" ht="12.75">
      <c r="A30" s="22">
        <f>A29+B$25/10</f>
        <v>191.2704999580075</v>
      </c>
      <c r="B30" s="6">
        <f aca="true" t="shared" si="0" ref="B30:B42">SQRT(B$14^2-(A30/B$15)^(1/B$16))</f>
        <v>1942.9522562131733</v>
      </c>
      <c r="C30" s="21">
        <f aca="true" t="shared" si="1" ref="C30:C42">SQRT(B$23*B$11^2+0.000667*(B$23-1)*B$24*(A30*B$21*B$20)^2/B$7^5/COS(B$10/57.3))</f>
        <v>1020.7507639713953</v>
      </c>
      <c r="D30" s="3"/>
      <c r="E30" s="1"/>
      <c r="F30" s="1"/>
      <c r="G30" s="1"/>
      <c r="H30" s="1"/>
      <c r="I30"/>
      <c r="J30"/>
      <c r="K30"/>
    </row>
    <row r="31" spans="1:11" ht="12.75">
      <c r="A31" s="22">
        <f aca="true" t="shared" si="2" ref="A31:A38">A30+B$25/10</f>
        <v>382.540999916015</v>
      </c>
      <c r="B31" s="6">
        <f t="shared" si="0"/>
        <v>1861.4531302234986</v>
      </c>
      <c r="C31" s="21">
        <f t="shared" si="1"/>
        <v>1022.7403572122311</v>
      </c>
      <c r="D31" s="3"/>
      <c r="E31" s="1"/>
      <c r="F31" s="1"/>
      <c r="G31" s="1"/>
      <c r="H31" s="1"/>
      <c r="I31"/>
      <c r="J31"/>
      <c r="K31"/>
    </row>
    <row r="32" spans="1:11" ht="12.75">
      <c r="A32" s="22">
        <f t="shared" si="2"/>
        <v>573.8114998740225</v>
      </c>
      <c r="B32" s="6">
        <f t="shared" si="0"/>
        <v>1764.0580020535765</v>
      </c>
      <c r="C32" s="21">
        <f t="shared" si="1"/>
        <v>1026.0477726733586</v>
      </c>
      <c r="D32" s="3"/>
      <c r="E32" s="1"/>
      <c r="F32" s="1"/>
      <c r="G32" s="1"/>
      <c r="H32" s="1"/>
      <c r="I32"/>
      <c r="J32"/>
      <c r="K32"/>
    </row>
    <row r="33" spans="1:11" ht="12.75">
      <c r="A33" s="22">
        <f t="shared" si="2"/>
        <v>765.08199983203</v>
      </c>
      <c r="B33" s="6">
        <f t="shared" si="0"/>
        <v>1651.534690514467</v>
      </c>
      <c r="C33" s="21">
        <f t="shared" si="1"/>
        <v>1030.660323656762</v>
      </c>
      <c r="D33" s="3"/>
      <c r="F33" s="1"/>
      <c r="G33" s="1"/>
      <c r="H33" s="1"/>
      <c r="I33"/>
      <c r="J33"/>
      <c r="K33"/>
    </row>
    <row r="34" spans="1:8" ht="12.75">
      <c r="A34" s="22">
        <f t="shared" si="2"/>
        <v>956.3524997900374</v>
      </c>
      <c r="B34" s="6">
        <f t="shared" si="0"/>
        <v>1522.565981983234</v>
      </c>
      <c r="C34" s="21">
        <f t="shared" si="1"/>
        <v>1036.5605872921788</v>
      </c>
      <c r="D34" s="3"/>
      <c r="E34" s="1"/>
      <c r="F34" s="1"/>
      <c r="G34" s="1"/>
      <c r="H34" s="1"/>
    </row>
    <row r="35" spans="1:8" ht="12.75">
      <c r="A35" s="22">
        <f t="shared" si="2"/>
        <v>1147.622999748045</v>
      </c>
      <c r="B35" s="6">
        <f t="shared" si="0"/>
        <v>1373.9475360055983</v>
      </c>
      <c r="C35" s="21">
        <f t="shared" si="1"/>
        <v>1043.7267252062172</v>
      </c>
      <c r="D35" s="3"/>
      <c r="E35" s="1"/>
      <c r="F35" s="1"/>
      <c r="G35" s="1"/>
      <c r="H35" s="1"/>
    </row>
    <row r="36" spans="1:8" ht="12.75">
      <c r="A36" s="22">
        <f t="shared" si="2"/>
        <v>1338.8934997060526</v>
      </c>
      <c r="B36" s="6">
        <f t="shared" si="0"/>
        <v>1199.5268176075313</v>
      </c>
      <c r="C36" s="21">
        <f t="shared" si="1"/>
        <v>1052.1328718877792</v>
      </c>
      <c r="D36" s="3"/>
      <c r="E36" s="1"/>
      <c r="F36" s="1"/>
      <c r="G36" s="1"/>
      <c r="H36" s="1"/>
    </row>
    <row r="37" spans="1:8" ht="12.75">
      <c r="A37" s="22">
        <f t="shared" si="2"/>
        <v>1530.1639996640602</v>
      </c>
      <c r="B37" s="6">
        <f t="shared" si="0"/>
        <v>986.7253169904147</v>
      </c>
      <c r="C37" s="21">
        <f t="shared" si="1"/>
        <v>1061.7495753325736</v>
      </c>
      <c r="D37" s="3"/>
      <c r="E37" s="1"/>
      <c r="F37" s="1"/>
      <c r="G37" s="1"/>
      <c r="H37" s="1"/>
    </row>
    <row r="38" spans="1:8" ht="12.75">
      <c r="A38" s="22">
        <f t="shared" si="2"/>
        <v>1721.4344996220677</v>
      </c>
      <c r="B38" s="6">
        <f t="shared" si="0"/>
        <v>702.5571242745533</v>
      </c>
      <c r="C38" s="21">
        <f t="shared" si="1"/>
        <v>1072.5442735597994</v>
      </c>
      <c r="D38" s="3"/>
      <c r="E38" s="1"/>
      <c r="F38" s="1"/>
      <c r="G38" s="1"/>
      <c r="H38" s="1"/>
    </row>
    <row r="39" spans="1:8" ht="12.75">
      <c r="A39" s="22">
        <f>A38+B$25/20</f>
        <v>1817.0697496010714</v>
      </c>
      <c r="B39" s="6">
        <f t="shared" si="0"/>
        <v>498.4150172040858</v>
      </c>
      <c r="C39" s="21">
        <f t="shared" si="1"/>
        <v>1078.3724666320218</v>
      </c>
      <c r="D39" s="3"/>
      <c r="E39" s="1"/>
      <c r="F39" s="1"/>
      <c r="G39" s="1"/>
      <c r="H39" s="1"/>
    </row>
    <row r="40" spans="1:8" ht="12.75">
      <c r="A40" s="22">
        <f>A39+B$25/40</f>
        <v>1864.8873745905732</v>
      </c>
      <c r="B40" s="6">
        <f t="shared" si="0"/>
        <v>352.99703471540505</v>
      </c>
      <c r="C40" s="21">
        <f t="shared" si="1"/>
        <v>1081.3922799196127</v>
      </c>
      <c r="D40" s="3"/>
      <c r="E40" s="1"/>
      <c r="F40" s="1"/>
      <c r="G40" s="1"/>
      <c r="H40" s="1"/>
    </row>
    <row r="41" spans="1:8" ht="12.75">
      <c r="A41" s="22">
        <f>A40+B$25/80</f>
        <v>1888.7961870853242</v>
      </c>
      <c r="B41" s="6">
        <f t="shared" si="0"/>
        <v>249.80399695306383</v>
      </c>
      <c r="C41" s="21">
        <f t="shared" si="1"/>
        <v>1082.9283600608142</v>
      </c>
      <c r="D41" s="3"/>
      <c r="E41" s="1"/>
      <c r="F41" s="1"/>
      <c r="G41" s="1"/>
      <c r="H41" s="1"/>
    </row>
    <row r="42" spans="1:8" ht="12.75">
      <c r="A42" s="22">
        <f>B25</f>
        <v>1912.7049995800749</v>
      </c>
      <c r="B42" s="6">
        <f t="shared" si="0"/>
        <v>3.737624729588589E-05</v>
      </c>
      <c r="C42" s="21">
        <f t="shared" si="1"/>
        <v>1084.4817906206997</v>
      </c>
      <c r="D42" s="3"/>
      <c r="E42" s="1"/>
      <c r="F42" s="1"/>
      <c r="G42" s="1"/>
      <c r="H42" s="1"/>
    </row>
    <row r="43" spans="1:4" ht="12.75">
      <c r="A43" s="13"/>
      <c r="B43" s="2"/>
      <c r="C43" s="12"/>
      <c r="D43" s="2"/>
    </row>
    <row r="44" spans="1:3" ht="12.75">
      <c r="A44" s="23" t="s">
        <v>43</v>
      </c>
      <c r="B44" s="7">
        <v>1470.3927310926915</v>
      </c>
      <c r="C44" s="12" t="s">
        <v>5</v>
      </c>
    </row>
    <row r="45" spans="1:3" ht="12.75">
      <c r="A45" s="17" t="s">
        <v>45</v>
      </c>
      <c r="B45" s="5">
        <f>B$14^2-(B44/B$15)^(1/B$16)-B$23*B$11^2-0.000667*(B$23-1)*B$24*(B44*B$21*B$20)^2/B$7^5/COS(B$10/57.3)</f>
        <v>-1.540072844363749E-06</v>
      </c>
      <c r="C45" s="12"/>
    </row>
    <row r="46" spans="1:3" ht="13.5" thickBot="1">
      <c r="A46" s="24" t="s">
        <v>44</v>
      </c>
      <c r="B46" s="26">
        <f>SQRT(B$14^2-(B44/B$15)^(1/B$16))</f>
        <v>1058.6162656005154</v>
      </c>
      <c r="C46" s="25" t="s">
        <v>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University of Louisiana at Lafayette</cp:lastModifiedBy>
  <dcterms:created xsi:type="dcterms:W3CDTF">2004-05-04T18:47:42Z</dcterms:created>
  <dcterms:modified xsi:type="dcterms:W3CDTF">2005-02-22T20:57:33Z</dcterms:modified>
  <cp:category/>
  <cp:version/>
  <cp:contentType/>
  <cp:contentStatus/>
</cp:coreProperties>
</file>